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<sst xmlns="http://schemas.openxmlformats.org/spreadsheetml/2006/main" count="1219" uniqueCount="248">
  <si>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</si>
  <si>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</si>
  <si>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</si>
  <si>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</si>
  <si>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</si>
  <si>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</si>
  <si>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</si>
  <si>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</si>
  <si>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</si>
  <si>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</si>
  <si>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</si>
  <si>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</si>
  <si>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</si>
  <si>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</si>
  <si>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</si>
  <si>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</si>
  <si>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</si>
  <si>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</si>
  <si>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</si>
  <si>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</si>
  <si>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</si>
  <si>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</si>
  <si>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</si>
  <si>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</si>
  <si>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</si>
  <si>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</si>
  <si>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</si>
  <si>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</si>
  <si>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</si>
  <si>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</si>
  <si>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</si>
  <si>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</si>
  <si>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</si>
  <si>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</si>
  <si>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</si>
  <si>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</si>
  <si>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</si>
  <si>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</si>
  <si>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</si>
  <si>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</si>
  <si>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</si>
  <si>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</si>
  <si>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</si>
  <si>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</si>
  <si>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</si>
  <si>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</si>
  <si>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</si>
  <si>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</si>
  <si>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</si>
  <si>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</si>
  <si>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</si>
  <si>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</si>
  <si>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</si>
  <si>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</si>
  <si>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</si>
  <si>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</si>
  <si>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</si>
  <si>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</si>
  <si>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</si>
  <si>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</si>
  <si>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</si>
  <si>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</si>
  <si>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</si>
  <si>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</si>
  <si>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</si>
  <si>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</si>
  <si>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</si>
  <si>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</si>
  <si>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</si>
  <si>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</si>
  <si>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</si>
  <si>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</si>
  <si>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</si>
  <si>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</si>
  <si>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</si>
  <si>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</si>
  <si>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</si>
  <si>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</si>
  <si>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</si>
  <si>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</si>
  <si>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</si>
  <si>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</si>
  <si>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</si>
  <si>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</si>
  <si>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</si>
  <si>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</si>
  <si>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</si>
  <si>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</si>
  <si>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</si>
  <si>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</si>
  <si>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</si>
  <si>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</si>
  <si>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</si>
  <si>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</si>
  <si>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</si>
  <si>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</si>
  <si>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</si>
  <si>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</si>
  <si>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</si>
  <si>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</si>
  <si>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</si>
  <si>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</si>
  <si>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</si>
  <si>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</si>
  <si>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</si>
  <si>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</si>
  <si>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</si>
  <si>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</si>
  <si>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</si>
  <si>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</si>
  <si>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</si>
  <si>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</si>
  <si>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</si>
  <si>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</si>
  <si>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</si>
  <si>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</si>
  <si>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</si>
  <si>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</si>
  <si>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</si>
  <si>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</si>
  <si>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</si>
  <si>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</si>
  <si>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</si>
  <si>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</si>
  <si>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</si>
  <si>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</si>
  <si>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</si>
  <si>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</si>
  <si>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</si>
  <si>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</si>
  <si>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</si>
  <si>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</si>
  <si>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</si>
  <si>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</si>
  <si>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</si>
  <si>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</si>
  <si>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</si>
  <si>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</si>
  <si>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</si>
  <si>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</si>
  <si>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</si>
  <si>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</si>
  <si>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</si>
  <si>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</si>
  <si>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</si>
  <si>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</si>
  <si>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</si>
  <si>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</si>
  <si>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</si>
  <si>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</si>
  <si>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</si>
  <si>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</si>
  <si>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</si>
  <si>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</si>
  <si>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</si>
  <si>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</si>
  <si>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</si>
  <si>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</si>
  <si>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</si>
  <si>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</si>
  <si>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</si>
  <si>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</si>
  <si>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</si>
  <si>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</si>
  <si>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</si>
  <si>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</si>
  <si>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</si>
  <si>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</si>
  <si>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</si>
  <si>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</si>
  <si>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</si>
  <si>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</si>
  <si>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</si>
  <si>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</si>
  <si>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</si>
  <si>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</si>
  <si>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</si>
  <si>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</si>
  <si>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</si>
  <si>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</si>
  <si>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</si>
  <si>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</si>
  <si>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</si>
  <si>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</si>
  <si>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</si>
  <si>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</si>
  <si>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</si>
  <si>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</si>
  <si>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</si>
  <si>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</si>
  <si>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</si>
  <si>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</si>
  <si>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</si>
  <si>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</si>
  <si>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</si>
  <si>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</si>
  <si>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</si>
  <si>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</si>
  <si>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</si>
  <si>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</si>
  <si>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</si>
  <si>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</si>
  <si>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</si>
  <si>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</si>
  <si>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</si>
  <si>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</si>
  <si>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</si>
  <si>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</si>
  <si>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</si>
  <si>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</si>
  <si>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</si>
  <si>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</si>
  <si>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</si>
  <si>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</si>
  <si>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</si>
  <si>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</si>
  <si>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</si>
  <si>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</si>
  <si>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</si>
  <si>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</si>
  <si>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</si>
  <si>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</si>
  <si>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</si>
  <si>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</si>
  <si>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</si>
  <si>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</si>
  <si>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</si>
  <si>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</si>
  <si>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</si>
  <si>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</si>
  <si>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</si>
  <si>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</si>
  <si>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</si>
  <si>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</si>
  <si>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</si>
  <si>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</si>
  <si>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</si>
  <si>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</si>
  <si>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</si>
  <si>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</si>
  <si>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</si>
  <si>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</si>
  <si>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</si>
  <si>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</si>
  <si>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</si>
  <si>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</si>
  <si>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</si>
  <si>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13.06.14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</si>
</sst>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118831099.63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105005877.66999999</v>
          </cell>
        </row>
      </sheetData>
      <sheetData sheetId="13">
        <row r="52">
          <cell r="B52">
            <v>38054114.70999999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9" sqref="E1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202221.86</v>
      </c>
      <c r="G8" s="22">
        <f aca="true" t="shared" si="0" ref="G8:G30">F8-E8</f>
        <v>-31044.670000000013</v>
      </c>
      <c r="H8" s="51">
        <f>F8/E8*100</f>
        <v>86.69133115668158</v>
      </c>
      <c r="I8" s="36">
        <f aca="true" t="shared" si="1" ref="I8:I17">F8-D8</f>
        <v>-286254.44</v>
      </c>
      <c r="J8" s="36">
        <f aca="true" t="shared" si="2" ref="J8:J14">F8/D8*100</f>
        <v>41.39849978391991</v>
      </c>
      <c r="K8" s="36">
        <f>F8-227938.8</f>
        <v>-25716.940000000002</v>
      </c>
      <c r="L8" s="136">
        <f>F8/227938.8</f>
        <v>0.8871761192039267</v>
      </c>
      <c r="M8" s="22">
        <f>M10+M19+M33+M56+M68+M30</f>
        <v>41595.47</v>
      </c>
      <c r="N8" s="22">
        <f>N10+N19+N33+N56+N68+N30</f>
        <v>17416.659999999996</v>
      </c>
      <c r="O8" s="36">
        <f aca="true" t="shared" si="3" ref="O8:O71">N8-M8</f>
        <v>-24178.810000000005</v>
      </c>
      <c r="P8" s="36">
        <f>F8/M8*100</f>
        <v>486.1631807502114</v>
      </c>
      <c r="Q8" s="36">
        <f>N8-40804</f>
        <v>-23387.340000000004</v>
      </c>
      <c r="R8" s="134">
        <f>N8/40804</f>
        <v>0.4268370747965885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164953.61</v>
      </c>
      <c r="G9" s="22">
        <f t="shared" si="0"/>
        <v>164953.61</v>
      </c>
      <c r="H9" s="20"/>
      <c r="I9" s="56">
        <f t="shared" si="1"/>
        <v>-222059.59000000003</v>
      </c>
      <c r="J9" s="56">
        <f t="shared" si="2"/>
        <v>42.62221805354442</v>
      </c>
      <c r="K9" s="56"/>
      <c r="L9" s="135"/>
      <c r="M9" s="20">
        <f>M10+M17</f>
        <v>34434.5</v>
      </c>
      <c r="N9" s="20">
        <f>N10+N17</f>
        <v>16193.459999999992</v>
      </c>
      <c r="O9" s="36">
        <f t="shared" si="3"/>
        <v>-18241.040000000008</v>
      </c>
      <c r="P9" s="56">
        <f>F9/M9*100</f>
        <v>479.03587971365926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164953.61</v>
      </c>
      <c r="G10" s="49">
        <f t="shared" si="0"/>
        <v>-25592.690000000002</v>
      </c>
      <c r="H10" s="40">
        <f aca="true" t="shared" si="4" ref="H10:H17">F10/E10*100</f>
        <v>86.56878144576935</v>
      </c>
      <c r="I10" s="56">
        <f t="shared" si="1"/>
        <v>-222059.59000000003</v>
      </c>
      <c r="J10" s="56">
        <f t="shared" si="2"/>
        <v>42.62221805354442</v>
      </c>
      <c r="K10" s="141">
        <f>F10-179133.7</f>
        <v>-14180.090000000026</v>
      </c>
      <c r="L10" s="142">
        <f>F10/179133.7</f>
        <v>0.9208407463252307</v>
      </c>
      <c r="M10" s="40">
        <f>E10-травень!E10</f>
        <v>34434.5</v>
      </c>
      <c r="N10" s="40">
        <f>F10-травень!F10</f>
        <v>16193.459999999992</v>
      </c>
      <c r="O10" s="53">
        <f t="shared" si="3"/>
        <v>-18241.040000000008</v>
      </c>
      <c r="P10" s="56">
        <f aca="true" t="shared" si="5" ref="P10:P17">N10/M10*100</f>
        <v>47.02684807387937</v>
      </c>
      <c r="Q10" s="141">
        <f>N10-33294.7</f>
        <v>-17101.240000000005</v>
      </c>
      <c r="R10" s="142">
        <f>N10/33294.7</f>
        <v>0.48636749993242145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33734.26</v>
      </c>
      <c r="G33" s="49">
        <f aca="true" t="shared" si="14" ref="G33:G72">F33-E33</f>
        <v>-4546.970000000001</v>
      </c>
      <c r="H33" s="40">
        <f aca="true" t="shared" si="15" ref="H33:H67">F33/E33*100</f>
        <v>88.12219461077923</v>
      </c>
      <c r="I33" s="56">
        <f>F33-D33</f>
        <v>-59831.74</v>
      </c>
      <c r="J33" s="56">
        <f aca="true" t="shared" si="16" ref="J33:J72">F33/D33*100</f>
        <v>36.05397259688349</v>
      </c>
      <c r="K33" s="141">
        <f>F33-39969.9</f>
        <v>-6235.639999999999</v>
      </c>
      <c r="L33" s="142">
        <f>F33/39969.9</f>
        <v>0.8439916036817705</v>
      </c>
      <c r="M33" s="40">
        <f>E33-травень!E33</f>
        <v>6540.770000000004</v>
      </c>
      <c r="N33" s="40">
        <f>F33-травень!F33</f>
        <v>1029.7500000000036</v>
      </c>
      <c r="O33" s="53">
        <f t="shared" si="3"/>
        <v>-5511.02</v>
      </c>
      <c r="P33" s="56">
        <f aca="true" t="shared" si="17" ref="P33:P67">N33/M33*100</f>
        <v>15.74355924455382</v>
      </c>
      <c r="Q33" s="141">
        <f>N33-6504.1</f>
        <v>-5474.349999999997</v>
      </c>
      <c r="R33" s="142">
        <f>N33/6504.1</f>
        <v>0.15832321151273868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25418.17</v>
      </c>
      <c r="G55" s="144">
        <f t="shared" si="14"/>
        <v>-2912.760000000002</v>
      </c>
      <c r="H55" s="146">
        <f t="shared" si="15"/>
        <v>89.7187985004375</v>
      </c>
      <c r="I55" s="145">
        <f t="shared" si="18"/>
        <v>-44847.83</v>
      </c>
      <c r="J55" s="145">
        <f t="shared" si="16"/>
        <v>36.17420943272706</v>
      </c>
      <c r="K55" s="148">
        <f>F55-28815.15</f>
        <v>-3396.980000000003</v>
      </c>
      <c r="L55" s="149">
        <f>F55/28815.15</f>
        <v>0.8821113199133094</v>
      </c>
      <c r="M55" s="40">
        <f>E55-травень!E55</f>
        <v>4780.77</v>
      </c>
      <c r="N55" s="40">
        <f>F55-травень!F55</f>
        <v>879.989999999998</v>
      </c>
      <c r="O55" s="148">
        <f t="shared" si="3"/>
        <v>-3900.7800000000025</v>
      </c>
      <c r="P55" s="148">
        <f t="shared" si="17"/>
        <v>18.406867512973808</v>
      </c>
      <c r="Q55" s="163">
        <f>N55-4583</f>
        <v>-3703.010000000002</v>
      </c>
      <c r="R55" s="164">
        <f>N55/4583</f>
        <v>0.1920117826751032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0.23+3223.54</f>
        <v>3223.77</v>
      </c>
      <c r="G56" s="49">
        <f t="shared" si="14"/>
        <v>-174.5300000000002</v>
      </c>
      <c r="H56" s="40">
        <f t="shared" si="15"/>
        <v>94.86419680428449</v>
      </c>
      <c r="I56" s="56">
        <f t="shared" si="18"/>
        <v>-3636.23</v>
      </c>
      <c r="J56" s="56">
        <f t="shared" si="16"/>
        <v>46.993731778425655</v>
      </c>
      <c r="K56" s="56">
        <f>F56-3189.3</f>
        <v>34.4699999999998</v>
      </c>
      <c r="L56" s="135">
        <f>F56/3189.3</f>
        <v>1.0108080142978082</v>
      </c>
      <c r="M56" s="40">
        <f>E56-травень!E56</f>
        <v>609.2000000000003</v>
      </c>
      <c r="N56" s="40">
        <f>F56-травень!F56</f>
        <v>532.4499999999998</v>
      </c>
      <c r="O56" s="53">
        <f t="shared" si="3"/>
        <v>-76.75000000000045</v>
      </c>
      <c r="P56" s="56">
        <f t="shared" si="17"/>
        <v>87.40151017728162</v>
      </c>
      <c r="Q56" s="56">
        <f>N56-539.8</f>
        <v>-7.350000000000136</v>
      </c>
      <c r="R56" s="135">
        <f>N56/539.8</f>
        <v>0.9863838458688401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6189.0199999999995</v>
      </c>
      <c r="G74" s="50">
        <f aca="true" t="shared" si="24" ref="G74:G92">F74-E74</f>
        <v>-1239.4800000000005</v>
      </c>
      <c r="H74" s="51">
        <f aca="true" t="shared" si="25" ref="H74:H87">F74/E74*100</f>
        <v>83.31453187049875</v>
      </c>
      <c r="I74" s="36">
        <f aca="true" t="shared" si="26" ref="I74:I92">F74-D74</f>
        <v>-12169.279999999999</v>
      </c>
      <c r="J74" s="36">
        <f aca="true" t="shared" si="27" ref="J74:J92">F74/D74*100</f>
        <v>33.71238077599777</v>
      </c>
      <c r="K74" s="36">
        <f>F74-9149.2</f>
        <v>-2960.180000000001</v>
      </c>
      <c r="L74" s="136">
        <f>F74/9149.2</f>
        <v>0.6764547720019236</v>
      </c>
      <c r="M74" s="22">
        <f>M77+M86+M88+M89+M94+M95+M96+M97+M99+M87+M103</f>
        <v>1500.5</v>
      </c>
      <c r="N74" s="22">
        <f>N77+N86+N88+N89+N94+N95+N96+N97+N99+N32+N103+N87</f>
        <v>840.73</v>
      </c>
      <c r="O74" s="55">
        <f aca="true" t="shared" si="28" ref="O74:O92">N74-M74</f>
        <v>-659.77</v>
      </c>
      <c r="P74" s="36">
        <f>N74/M74*100</f>
        <v>56.029990003332216</v>
      </c>
      <c r="Q74" s="36">
        <f>N74-1610.7</f>
        <v>-769.97</v>
      </c>
      <c r="R74" s="136">
        <f>N74/1610.7</f>
        <v>0.5219656050164525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51.04</v>
      </c>
      <c r="G89" s="49">
        <f t="shared" si="24"/>
        <v>-32.96</v>
      </c>
      <c r="H89" s="40">
        <f>F89/E89*100</f>
        <v>60.76190476190476</v>
      </c>
      <c r="I89" s="56">
        <f t="shared" si="26"/>
        <v>-123.96000000000001</v>
      </c>
      <c r="J89" s="56">
        <f t="shared" si="27"/>
        <v>29.165714285714284</v>
      </c>
      <c r="K89" s="56">
        <f>F89-81.2</f>
        <v>-30.160000000000004</v>
      </c>
      <c r="L89" s="135">
        <f>F89/81.2</f>
        <v>0.6285714285714286</v>
      </c>
      <c r="M89" s="40">
        <f>E89-травень!E89</f>
        <v>15</v>
      </c>
      <c r="N89" s="40">
        <f>F89-травень!F89</f>
        <v>3.9499999999999957</v>
      </c>
      <c r="O89" s="53">
        <f t="shared" si="28"/>
        <v>-11.050000000000004</v>
      </c>
      <c r="P89" s="56">
        <f>N89/M89*100</f>
        <v>26.333333333333304</v>
      </c>
      <c r="Q89" s="56">
        <f>N89-7.8</f>
        <v>-3.850000000000004</v>
      </c>
      <c r="R89" s="135">
        <f>N89/7.8</f>
        <v>0.5064102564102558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3548.7</v>
      </c>
      <c r="G95" s="49">
        <f t="shared" si="31"/>
        <v>17.199999999999818</v>
      </c>
      <c r="H95" s="40">
        <f>F95/E95*100</f>
        <v>100.48704516494406</v>
      </c>
      <c r="I95" s="56">
        <f t="shared" si="32"/>
        <v>-3451.3</v>
      </c>
      <c r="J95" s="56">
        <f>F95/D95*100</f>
        <v>50.69571428571429</v>
      </c>
      <c r="K95" s="56">
        <f>F95-3630.2</f>
        <v>-81.5</v>
      </c>
      <c r="L95" s="135">
        <f>F95/3630.2</f>
        <v>0.977549446311498</v>
      </c>
      <c r="M95" s="40">
        <f>E95-травень!E95</f>
        <v>575</v>
      </c>
      <c r="N95" s="40">
        <f>F95-травень!F95</f>
        <v>586.54</v>
      </c>
      <c r="O95" s="53">
        <f t="shared" si="33"/>
        <v>11.539999999999964</v>
      </c>
      <c r="P95" s="56">
        <f>N95/M95*100</f>
        <v>102.00695652173913</v>
      </c>
      <c r="Q95" s="56">
        <f>N95-681.8</f>
        <v>-95.25999999999999</v>
      </c>
      <c r="R95" s="135">
        <f>N95/681.8</f>
        <v>0.8602816075095336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377.91</v>
      </c>
      <c r="G96" s="49">
        <f t="shared" si="31"/>
        <v>-96.58999999999997</v>
      </c>
      <c r="H96" s="40">
        <f>F96/E96*100</f>
        <v>79.64383561643837</v>
      </c>
      <c r="I96" s="56">
        <f t="shared" si="32"/>
        <v>-822.0899999999999</v>
      </c>
      <c r="J96" s="56">
        <f>F96/D96*100</f>
        <v>31.4925</v>
      </c>
      <c r="K96" s="56">
        <f>F96-463.2</f>
        <v>-85.28999999999996</v>
      </c>
      <c r="L96" s="135">
        <f>F96/463.2</f>
        <v>0.8158678756476685</v>
      </c>
      <c r="M96" s="40">
        <f>E96-травень!E96</f>
        <v>100</v>
      </c>
      <c r="N96" s="40">
        <f>F96-травень!F96</f>
        <v>26.930000000000007</v>
      </c>
      <c r="O96" s="53">
        <f t="shared" si="33"/>
        <v>-73.07</v>
      </c>
      <c r="P96" s="56">
        <f>N96/M96*100</f>
        <v>26.93000000000001</v>
      </c>
      <c r="Q96" s="56">
        <f>N96-89.2</f>
        <v>-62.269999999999996</v>
      </c>
      <c r="R96" s="135">
        <f>N96/89.2</f>
        <v>0.3019058295964126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1872.49</v>
      </c>
      <c r="G99" s="49">
        <f t="shared" si="31"/>
        <v>35.49000000000001</v>
      </c>
      <c r="H99" s="40">
        <f>F99/E99*100</f>
        <v>101.93195427327164</v>
      </c>
      <c r="I99" s="56">
        <f t="shared" si="32"/>
        <v>-2700.21</v>
      </c>
      <c r="J99" s="56">
        <f>F99/D99*100</f>
        <v>40.94932971767227</v>
      </c>
      <c r="K99" s="56">
        <f>F99-1991.7</f>
        <v>-119.21000000000004</v>
      </c>
      <c r="L99" s="135">
        <f>F99/1991.7</f>
        <v>0.9401466084249636</v>
      </c>
      <c r="M99" s="40">
        <f>E99-травень!E99</f>
        <v>330</v>
      </c>
      <c r="N99" s="40">
        <f>F99-травень!F99</f>
        <v>222.55999999999995</v>
      </c>
      <c r="O99" s="53">
        <f t="shared" si="33"/>
        <v>-107.44000000000005</v>
      </c>
      <c r="P99" s="56">
        <f>N99/M99*100</f>
        <v>67.44242424242422</v>
      </c>
      <c r="Q99" s="56">
        <f>N99-325.9</f>
        <v>-103.34000000000003</v>
      </c>
      <c r="R99" s="135">
        <f>N99/325.9</f>
        <v>0.6829088677508437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337</v>
      </c>
      <c r="G102" s="144"/>
      <c r="H102" s="146"/>
      <c r="I102" s="145"/>
      <c r="J102" s="145"/>
      <c r="K102" s="148">
        <f>F102-244.8</f>
        <v>92.19999999999999</v>
      </c>
      <c r="L102" s="149">
        <f>F102/244.8</f>
        <v>1.3766339869281046</v>
      </c>
      <c r="M102" s="40">
        <f>E102-травень!E102</f>
        <v>0</v>
      </c>
      <c r="N102" s="40">
        <f>F102-травень!F102</f>
        <v>45.80000000000001</v>
      </c>
      <c r="O102" s="53"/>
      <c r="P102" s="60"/>
      <c r="Q102" s="60">
        <f>N102-60.1</f>
        <v>-14.29999999999999</v>
      </c>
      <c r="R102" s="138">
        <f>N102/60.1</f>
        <v>0.7620632279534112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-53.81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11.69</v>
      </c>
      <c r="G104" s="49">
        <f>F104-E104</f>
        <v>-3.51</v>
      </c>
      <c r="H104" s="40">
        <f>F104/E104*100</f>
        <v>76.90789473684211</v>
      </c>
      <c r="I104" s="56">
        <f t="shared" si="34"/>
        <v>-33.31</v>
      </c>
      <c r="J104" s="56">
        <f aca="true" t="shared" si="36" ref="J104:J109">F104/D104*100</f>
        <v>25.977777777777778</v>
      </c>
      <c r="K104" s="56">
        <f>F104-13.4</f>
        <v>-1.7100000000000009</v>
      </c>
      <c r="L104" s="135">
        <f>F104/13.4</f>
        <v>0.8723880597014925</v>
      </c>
      <c r="M104" s="40">
        <f>E104-травень!E104</f>
        <v>3</v>
      </c>
      <c r="N104" s="40">
        <f>F104-травень!F104</f>
        <v>0.019999999999999574</v>
      </c>
      <c r="O104" s="53">
        <f t="shared" si="35"/>
        <v>-2.9800000000000004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208422.61</v>
      </c>
      <c r="G106" s="50">
        <f>F106-E106</f>
        <v>-32287.620000000024</v>
      </c>
      <c r="H106" s="51">
        <f>F106/E106*100</f>
        <v>86.58651940135655</v>
      </c>
      <c r="I106" s="36">
        <f t="shared" si="34"/>
        <v>-298456.99</v>
      </c>
      <c r="J106" s="36">
        <f t="shared" si="36"/>
        <v>41.118760747128114</v>
      </c>
      <c r="K106" s="36">
        <f>F106-237104</f>
        <v>-28681.390000000014</v>
      </c>
      <c r="L106" s="136">
        <f>F106/237104</f>
        <v>0.8790345586746744</v>
      </c>
      <c r="M106" s="22">
        <f>M8+M74+M104+M105</f>
        <v>43098.97</v>
      </c>
      <c r="N106" s="22">
        <f>N8+N74+N104+N105</f>
        <v>18257.409999999996</v>
      </c>
      <c r="O106" s="55">
        <f t="shared" si="35"/>
        <v>-24841.560000000005</v>
      </c>
      <c r="P106" s="36">
        <f>N106/M106*100</f>
        <v>42.361592400003985</v>
      </c>
      <c r="Q106" s="36">
        <f>N106-42414.8</f>
        <v>-24157.390000000007</v>
      </c>
      <c r="R106" s="136">
        <f>N106/42414.8</f>
        <v>0.430449041372351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165331.52</v>
      </c>
      <c r="G107" s="71">
        <f>G10-G18+G96</f>
        <v>-25689.280000000002</v>
      </c>
      <c r="H107" s="72">
        <f>F107/E107*100</f>
        <v>86.55157972325527</v>
      </c>
      <c r="I107" s="52">
        <f t="shared" si="34"/>
        <v>-222881.68000000002</v>
      </c>
      <c r="J107" s="52">
        <f t="shared" si="36"/>
        <v>42.587815148995446</v>
      </c>
      <c r="K107" s="52">
        <f>F107-179685.8</f>
        <v>-14354.279999999999</v>
      </c>
      <c r="L107" s="137">
        <f>F107/179685.8</f>
        <v>0.9201145555185775</v>
      </c>
      <c r="M107" s="71">
        <f>M10-M18+M96</f>
        <v>34534.5</v>
      </c>
      <c r="N107" s="71">
        <f>N10-N18+N96</f>
        <v>16220.389999999992</v>
      </c>
      <c r="O107" s="53">
        <f t="shared" si="35"/>
        <v>-18314.110000000008</v>
      </c>
      <c r="P107" s="52">
        <f>N107/M107*100</f>
        <v>46.9686545338719</v>
      </c>
      <c r="Q107" s="52">
        <f>N107-33396.9</f>
        <v>-17176.51000000001</v>
      </c>
      <c r="R107" s="137">
        <f>N107/33396.9</f>
        <v>0.48568549775577946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43091.09</v>
      </c>
      <c r="G108" s="62">
        <f>F108-E108</f>
        <v>-6598.340000000026</v>
      </c>
      <c r="H108" s="72">
        <f>F108/E108*100</f>
        <v>86.72083781198532</v>
      </c>
      <c r="I108" s="52">
        <f t="shared" si="34"/>
        <v>-75575.30999999997</v>
      </c>
      <c r="J108" s="52">
        <f t="shared" si="36"/>
        <v>36.312797893927865</v>
      </c>
      <c r="K108" s="52">
        <f>F108-57418.1</f>
        <v>-14327.010000000002</v>
      </c>
      <c r="L108" s="137">
        <f>F108/57418.1</f>
        <v>0.750479204292723</v>
      </c>
      <c r="M108" s="71">
        <f>M106-M107</f>
        <v>8564.470000000001</v>
      </c>
      <c r="N108" s="71">
        <f>N106-N107</f>
        <v>2037.020000000004</v>
      </c>
      <c r="O108" s="53">
        <f t="shared" si="35"/>
        <v>-6527.449999999997</v>
      </c>
      <c r="P108" s="52">
        <f>N108/M108*100</f>
        <v>23.784542417686136</v>
      </c>
      <c r="Q108" s="52">
        <f>N108-9017.9</f>
        <v>-6980.879999999996</v>
      </c>
      <c r="R108" s="137">
        <f>N108/9017.9</f>
        <v>0.22588629281761877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165331.52</v>
      </c>
      <c r="G109" s="111">
        <f>F109-E109</f>
        <v>-20319.380000000005</v>
      </c>
      <c r="H109" s="72">
        <f>F109/E109*100</f>
        <v>89.05505979233067</v>
      </c>
      <c r="I109" s="81">
        <f t="shared" si="34"/>
        <v>-222881.68000000002</v>
      </c>
      <c r="J109" s="52">
        <f t="shared" si="36"/>
        <v>42.587815148995446</v>
      </c>
      <c r="K109" s="52"/>
      <c r="L109" s="137"/>
      <c r="M109" s="72">
        <f>E109-травень!E109</f>
        <v>34534.5</v>
      </c>
      <c r="N109" s="71">
        <f>N107</f>
        <v>16220.389999999992</v>
      </c>
      <c r="O109" s="118">
        <f t="shared" si="35"/>
        <v>-18314.110000000008</v>
      </c>
      <c r="P109" s="52">
        <f>N109/M109*100</f>
        <v>46.9686545338719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545.32</v>
      </c>
      <c r="G114" s="49">
        <f t="shared" si="37"/>
        <v>-1151.7799999999997</v>
      </c>
      <c r="H114" s="40">
        <f aca="true" t="shared" si="39" ref="H114:H125">F114/E114*100</f>
        <v>32.13246125743917</v>
      </c>
      <c r="I114" s="60">
        <f t="shared" si="38"/>
        <v>-3126.18</v>
      </c>
      <c r="J114" s="60">
        <f aca="true" t="shared" si="40" ref="J114:J120">F114/D114*100</f>
        <v>14.85278496527305</v>
      </c>
      <c r="K114" s="60">
        <f>F114-1891.5</f>
        <v>-1346.1799999999998</v>
      </c>
      <c r="L114" s="138">
        <f>F114/1891.5</f>
        <v>0.28830029077451763</v>
      </c>
      <c r="M114" s="40">
        <f>E114-травень!E114</f>
        <v>327.5</v>
      </c>
      <c r="N114" s="40">
        <f>F114-травень!F114</f>
        <v>45.56000000000006</v>
      </c>
      <c r="O114" s="53">
        <f aca="true" t="shared" si="41" ref="O114:O125">N114-M114</f>
        <v>-281.93999999999994</v>
      </c>
      <c r="P114" s="60">
        <f>N114/M114*100</f>
        <v>13.911450381679408</v>
      </c>
      <c r="Q114" s="60">
        <f>N114-276.6</f>
        <v>-231.03999999999996</v>
      </c>
      <c r="R114" s="138">
        <f>N114/276.6</f>
        <v>0.16471438900940005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146.47</v>
      </c>
      <c r="G115" s="49">
        <f t="shared" si="37"/>
        <v>11.969999999999999</v>
      </c>
      <c r="H115" s="40">
        <f t="shared" si="39"/>
        <v>108.89962825278809</v>
      </c>
      <c r="I115" s="60">
        <f t="shared" si="38"/>
        <v>-121.63000000000002</v>
      </c>
      <c r="J115" s="60">
        <f t="shared" si="40"/>
        <v>54.63259977620291</v>
      </c>
      <c r="K115" s="60">
        <f>F115-131.2</f>
        <v>15.27000000000001</v>
      </c>
      <c r="L115" s="138">
        <f>F115/131.2</f>
        <v>1.1163871951219513</v>
      </c>
      <c r="M115" s="40">
        <f>E115-травень!E115</f>
        <v>22</v>
      </c>
      <c r="N115" s="40">
        <f>F115-травень!F115</f>
        <v>26.929999999999993</v>
      </c>
      <c r="O115" s="53">
        <f t="shared" si="41"/>
        <v>4.929999999999993</v>
      </c>
      <c r="P115" s="60">
        <f>N115/M115*100</f>
        <v>122.40909090909086</v>
      </c>
      <c r="Q115" s="60">
        <f>N115-25.8</f>
        <v>1.129999999999992</v>
      </c>
      <c r="R115" s="138">
        <f>N115/25.8</f>
        <v>1.0437984496124029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690.6500000000001</v>
      </c>
      <c r="G116" s="62">
        <f t="shared" si="37"/>
        <v>-1140.9499999999998</v>
      </c>
      <c r="H116" s="72">
        <f t="shared" si="39"/>
        <v>37.707468879668056</v>
      </c>
      <c r="I116" s="61">
        <f t="shared" si="38"/>
        <v>-3248.95</v>
      </c>
      <c r="J116" s="61">
        <f t="shared" si="40"/>
        <v>17.530967610924968</v>
      </c>
      <c r="K116" s="61">
        <f>F116-2030.5</f>
        <v>-1339.85</v>
      </c>
      <c r="L116" s="139">
        <f>F116/2030.5</f>
        <v>0.34013789706968733</v>
      </c>
      <c r="M116" s="62">
        <f>M114+M115+M113</f>
        <v>349.5</v>
      </c>
      <c r="N116" s="38">
        <f>SUM(N113:N115)</f>
        <v>72.49000000000005</v>
      </c>
      <c r="O116" s="61">
        <f t="shared" si="41"/>
        <v>-277.00999999999993</v>
      </c>
      <c r="P116" s="61">
        <f>N116/M116*100</f>
        <v>20.74105865522176</v>
      </c>
      <c r="Q116" s="61">
        <f>N116-303.5</f>
        <v>-231.00999999999993</v>
      </c>
      <c r="R116" s="139">
        <f>N116/303.5</f>
        <v>0.2388467874794071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133.31</v>
      </c>
      <c r="G118" s="49">
        <f t="shared" si="37"/>
        <v>23.810000000000002</v>
      </c>
      <c r="H118" s="40">
        <f t="shared" si="39"/>
        <v>121.74429223744292</v>
      </c>
      <c r="I118" s="60">
        <f t="shared" si="38"/>
        <v>-133.89</v>
      </c>
      <c r="J118" s="60">
        <f t="shared" si="40"/>
        <v>49.89146706586827</v>
      </c>
      <c r="K118" s="60">
        <f>F118-95.9</f>
        <v>37.41</v>
      </c>
      <c r="L118" s="138">
        <f>F118/95.9</f>
        <v>1.3900938477580813</v>
      </c>
      <c r="M118" s="40">
        <f>E118-травень!E118</f>
        <v>3</v>
      </c>
      <c r="N118" s="40">
        <f>F118-травень!F118</f>
        <v>3.5600000000000023</v>
      </c>
      <c r="O118" s="53">
        <f>N118-M118</f>
        <v>0.5600000000000023</v>
      </c>
      <c r="P118" s="60">
        <f>N118/M118*100</f>
        <v>118.66666666666674</v>
      </c>
      <c r="Q118" s="60">
        <f>N118-7.4</f>
        <v>-3.839999999999998</v>
      </c>
      <c r="R118" s="138">
        <f>N118/7.4</f>
        <v>0.4810810810810814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36357.32</v>
      </c>
      <c r="G119" s="49">
        <f t="shared" si="37"/>
        <v>2144.720000000001</v>
      </c>
      <c r="H119" s="40">
        <f t="shared" si="39"/>
        <v>106.26880155264435</v>
      </c>
      <c r="I119" s="53">
        <f t="shared" si="38"/>
        <v>-35618.670000000006</v>
      </c>
      <c r="J119" s="60">
        <f t="shared" si="40"/>
        <v>50.51312250098956</v>
      </c>
      <c r="K119" s="60">
        <f>F119-32510.8</f>
        <v>3846.5200000000004</v>
      </c>
      <c r="L119" s="138">
        <f>F119/32510.8</f>
        <v>1.1183151445058257</v>
      </c>
      <c r="M119" s="40">
        <f>E119-травень!E119</f>
        <v>2600</v>
      </c>
      <c r="N119" s="40">
        <f>F119-травень!F119</f>
        <v>1183.0999999999985</v>
      </c>
      <c r="O119" s="53">
        <f t="shared" si="41"/>
        <v>-1416.9000000000015</v>
      </c>
      <c r="P119" s="60">
        <f aca="true" t="shared" si="42" ref="P119:P124">N119/M119*100</f>
        <v>45.5038461538461</v>
      </c>
      <c r="Q119" s="60">
        <v>2488.2</v>
      </c>
      <c r="R119" s="138">
        <f>N119/2488.2</f>
        <v>0.47548428582911284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2098.2</v>
      </c>
      <c r="G121" s="49">
        <f t="shared" si="37"/>
        <v>-2724.4000000000005</v>
      </c>
      <c r="H121" s="40">
        <f t="shared" si="39"/>
        <v>43.50765147430845</v>
      </c>
      <c r="I121" s="60">
        <f t="shared" si="38"/>
        <v>-20979.8</v>
      </c>
      <c r="J121" s="60">
        <f>F121/D121*100</f>
        <v>9.0917757171332</v>
      </c>
      <c r="K121" s="60">
        <f>F121-13847.9</f>
        <v>-11749.7</v>
      </c>
      <c r="L121" s="138">
        <f>F121/13847.9</f>
        <v>0.15151755861899638</v>
      </c>
      <c r="M121" s="40">
        <f>E121-травень!E121</f>
        <v>1767.2000000000003</v>
      </c>
      <c r="N121" s="40">
        <f>F121-травень!F121</f>
        <v>27.449999999999818</v>
      </c>
      <c r="O121" s="53">
        <f t="shared" si="41"/>
        <v>-1739.7500000000005</v>
      </c>
      <c r="P121" s="60">
        <f t="shared" si="42"/>
        <v>1.5533046627433122</v>
      </c>
      <c r="Q121" s="60">
        <f>N121-6379.2</f>
        <v>-6351.75</v>
      </c>
      <c r="R121" s="138">
        <f>N121/6379.2</f>
        <v>0.004303047404063177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701.37</v>
      </c>
      <c r="G122" s="49">
        <f t="shared" si="37"/>
        <v>-161.08000000000004</v>
      </c>
      <c r="H122" s="40">
        <f t="shared" si="39"/>
        <v>81.32297524494173</v>
      </c>
      <c r="I122" s="60">
        <f t="shared" si="38"/>
        <v>-1298.63</v>
      </c>
      <c r="J122" s="60">
        <f>F122/D122*100</f>
        <v>35.0685</v>
      </c>
      <c r="K122" s="60">
        <f>F122-1200</f>
        <v>-498.63</v>
      </c>
      <c r="L122" s="138">
        <f>F122/1200</f>
        <v>0.584475</v>
      </c>
      <c r="M122" s="40">
        <f>E122-травень!E122</f>
        <v>189.59000000000003</v>
      </c>
      <c r="N122" s="40">
        <f>F122-травень!F122</f>
        <v>0.5800000000000409</v>
      </c>
      <c r="O122" s="53">
        <f t="shared" si="41"/>
        <v>-189.01</v>
      </c>
      <c r="P122" s="60">
        <f t="shared" si="42"/>
        <v>0.30592330819138186</v>
      </c>
      <c r="Q122" s="60">
        <f>N122-0</f>
        <v>0.5800000000000409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40949.119999999995</v>
      </c>
      <c r="G123" s="62">
        <f t="shared" si="37"/>
        <v>-725.0299999999988</v>
      </c>
      <c r="H123" s="72">
        <f t="shared" si="39"/>
        <v>98.26024046081324</v>
      </c>
      <c r="I123" s="61">
        <f t="shared" si="38"/>
        <v>-66372.07</v>
      </c>
      <c r="J123" s="61">
        <f>F123/D123*100</f>
        <v>38.15567084189059</v>
      </c>
      <c r="K123" s="61">
        <f>F123-48279.1</f>
        <v>-7329.980000000003</v>
      </c>
      <c r="L123" s="139">
        <f>F123/48279.1</f>
        <v>0.8481748831274816</v>
      </c>
      <c r="M123" s="62">
        <f>M119+M120+M121+M122+M118</f>
        <v>4578.790000000001</v>
      </c>
      <c r="N123" s="62">
        <f>N119+N120+N121+N122+N118</f>
        <v>1261.6799999999985</v>
      </c>
      <c r="O123" s="61">
        <f t="shared" si="41"/>
        <v>-3317.1100000000024</v>
      </c>
      <c r="P123" s="61">
        <f t="shared" si="42"/>
        <v>27.55487803546348</v>
      </c>
      <c r="Q123" s="61">
        <f>N123-9063.3</f>
        <v>-7801.620000000001</v>
      </c>
      <c r="R123" s="139">
        <f>N123/9063.3</f>
        <v>0.13920757340041692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12.71</v>
      </c>
      <c r="G124" s="49">
        <f t="shared" si="37"/>
        <v>-4.449999999999999</v>
      </c>
      <c r="H124" s="40">
        <f t="shared" si="39"/>
        <v>74.06759906759908</v>
      </c>
      <c r="I124" s="60">
        <f t="shared" si="38"/>
        <v>-30.79</v>
      </c>
      <c r="J124" s="60">
        <f>F124/D124*100</f>
        <v>29.218390804597703</v>
      </c>
      <c r="K124" s="60">
        <f>F124-100.8</f>
        <v>-88.09</v>
      </c>
      <c r="L124" s="138">
        <f>F124/100.8</f>
        <v>0.12609126984126987</v>
      </c>
      <c r="M124" s="40">
        <f>E124-травень!E124</f>
        <v>3</v>
      </c>
      <c r="N124" s="40">
        <f>F124-травень!F124</f>
        <v>2</v>
      </c>
      <c r="O124" s="53">
        <f t="shared" si="41"/>
        <v>-1</v>
      </c>
      <c r="P124" s="60">
        <f t="shared" si="42"/>
        <v>66.66666666666666</v>
      </c>
      <c r="Q124" s="60">
        <f>N124-1.6</f>
        <v>0.3999999999999999</v>
      </c>
      <c r="R124" s="138">
        <f>N124/1.6</f>
        <v>1.25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5294.19</v>
      </c>
      <c r="G127" s="49">
        <f aca="true" t="shared" si="43" ref="G127:G134">F127-E127</f>
        <v>281.6899999999996</v>
      </c>
      <c r="H127" s="40">
        <f>F127/E127*100</f>
        <v>105.61975062344138</v>
      </c>
      <c r="I127" s="60">
        <f aca="true" t="shared" si="44" ref="I127:I134">F127-D127</f>
        <v>-3405.8100000000004</v>
      </c>
      <c r="J127" s="60">
        <f>F127/D127*100</f>
        <v>60.85275862068965</v>
      </c>
      <c r="K127" s="60">
        <f>F127-6301.4</f>
        <v>-1007.21</v>
      </c>
      <c r="L127" s="138">
        <f>F127/6301.4</f>
        <v>0.8401609166217031</v>
      </c>
      <c r="M127" s="40">
        <f>E127-травень!E127</f>
        <v>1</v>
      </c>
      <c r="N127" s="40">
        <f>F127-травень!F127</f>
        <v>1.3299999999999272</v>
      </c>
      <c r="O127" s="53">
        <f aca="true" t="shared" si="45" ref="O127:O134">N127-M127</f>
        <v>0.32999999999992724</v>
      </c>
      <c r="P127" s="60">
        <f>N127/M127*100</f>
        <v>132.99999999999272</v>
      </c>
      <c r="Q127" s="60">
        <f>N127-12.3</f>
        <v>-10.970000000000073</v>
      </c>
      <c r="R127" s="162">
        <f>N127/12.3</f>
        <v>0.10813008130080709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5324.7</v>
      </c>
      <c r="G129" s="62">
        <f t="shared" si="43"/>
        <v>287.84000000000015</v>
      </c>
      <c r="H129" s="72">
        <f>F129/E129*100</f>
        <v>105.71467144212863</v>
      </c>
      <c r="I129" s="61">
        <f t="shared" si="44"/>
        <v>-3426.000000000001</v>
      </c>
      <c r="J129" s="61">
        <f>F129/D129*100</f>
        <v>60.84884637800404</v>
      </c>
      <c r="K129" s="61">
        <f>F129-6410.2</f>
        <v>-1085.5</v>
      </c>
      <c r="L129" s="139">
        <f>G129/6410.2</f>
        <v>0.04490343515022935</v>
      </c>
      <c r="M129" s="62">
        <f>M124+M127+M128+M126</f>
        <v>4</v>
      </c>
      <c r="N129" s="62">
        <f>N124+N127+N128+N126</f>
        <v>3.3299999999999272</v>
      </c>
      <c r="O129" s="61">
        <f t="shared" si="45"/>
        <v>-0.6700000000000728</v>
      </c>
      <c r="P129" s="61">
        <f>N129/M129*100</f>
        <v>83.24999999999818</v>
      </c>
      <c r="Q129" s="61">
        <f>N129-14</f>
        <v>-10.670000000000073</v>
      </c>
      <c r="R129" s="137">
        <f>N129/14</f>
        <v>0.23785714285713766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46977.619999999995</v>
      </c>
      <c r="G133" s="50">
        <f t="shared" si="43"/>
        <v>-1580.6399999999994</v>
      </c>
      <c r="H133" s="51">
        <f>F133/E133*100</f>
        <v>96.744858650207</v>
      </c>
      <c r="I133" s="36">
        <f t="shared" si="44"/>
        <v>-73063.87000000001</v>
      </c>
      <c r="J133" s="36">
        <f>F133/D133*100</f>
        <v>39.13448591816046</v>
      </c>
      <c r="K133" s="36">
        <f>F133-56736.6</f>
        <v>-9758.980000000003</v>
      </c>
      <c r="L133" s="136">
        <f>F133/56736.6</f>
        <v>0.8279949803125319</v>
      </c>
      <c r="M133" s="31">
        <f>M116+M130+M123+M129+M132+M131</f>
        <v>4939.290000000001</v>
      </c>
      <c r="N133" s="31">
        <f>N116+N130+N123+N129+N132+N131</f>
        <v>1337.4999999999984</v>
      </c>
      <c r="O133" s="36">
        <f t="shared" si="45"/>
        <v>-3601.7900000000027</v>
      </c>
      <c r="P133" s="36">
        <f>N133/M133*100</f>
        <v>27.07879067639272</v>
      </c>
      <c r="Q133" s="36">
        <f>N133-9388.2</f>
        <v>-8050.700000000003</v>
      </c>
      <c r="R133" s="136">
        <f>N133/9388.2</f>
        <v>0.1424660744338636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255400.22999999998</v>
      </c>
      <c r="G134" s="50">
        <f t="shared" si="43"/>
        <v>-33868.26000000001</v>
      </c>
      <c r="H134" s="51">
        <f>F134/E134*100</f>
        <v>88.29175621582564</v>
      </c>
      <c r="I134" s="36">
        <f t="shared" si="44"/>
        <v>-371520.86</v>
      </c>
      <c r="J134" s="36">
        <f>F134/D134*100</f>
        <v>40.73881610841964</v>
      </c>
      <c r="K134" s="36">
        <f>F134-293840.6</f>
        <v>-38440.369999999995</v>
      </c>
      <c r="L134" s="136">
        <f>F134/293840.6</f>
        <v>0.8691795143353233</v>
      </c>
      <c r="M134" s="22">
        <f>M106+M133</f>
        <v>48038.26</v>
      </c>
      <c r="N134" s="22">
        <f>N106+N133</f>
        <v>19594.909999999996</v>
      </c>
      <c r="O134" s="36">
        <f t="shared" si="45"/>
        <v>-28443.350000000006</v>
      </c>
      <c r="P134" s="36">
        <f>N134/M134*100</f>
        <v>40.7902159653576</v>
      </c>
      <c r="Q134" s="36">
        <f>N134-51803</f>
        <v>-32208.090000000004</v>
      </c>
      <c r="R134" s="136">
        <f>N134/51803</f>
        <v>0.3782582089840356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10</v>
      </c>
      <c r="D136" s="4" t="s">
        <v>118</v>
      </c>
    </row>
    <row r="137" spans="2:17" ht="31.5">
      <c r="B137" s="78" t="s">
        <v>154</v>
      </c>
      <c r="C137" s="39">
        <f>IF(O106&lt;0,ABS(O106/C136),0)</f>
        <v>2484.1560000000004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41803</v>
      </c>
      <c r="D138" s="39">
        <v>4964.7</v>
      </c>
      <c r="N138" s="177"/>
      <c r="O138" s="177"/>
    </row>
    <row r="139" spans="3:15" ht="15.75">
      <c r="C139" s="120">
        <v>41802</v>
      </c>
      <c r="D139" s="39">
        <v>1099.6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41801</v>
      </c>
      <c r="D140" s="39">
        <v>1150.4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118831.09963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105005.87766999999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38054.114709999994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7" sqref="E12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38054.114709999994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2014-06-16T11:24:34Z</cp:lastPrinted>
  <dcterms:created xsi:type="dcterms:W3CDTF">2003-07-28T11:27:56Z</dcterms:created>
  <dcterms:modified xsi:type="dcterms:W3CDTF">2014-06-16T11:24:59Z</dcterms:modified>
  <cp:category/>
  <cp:version/>
  <cp:contentType/>
  <cp:contentStatus/>
</cp:coreProperties>
</file>